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<sst xmlns="http://schemas.openxmlformats.org/spreadsheetml/2006/main" count="628" uniqueCount="158">
  <si>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</si>
  <si>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</si>
  <si>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</si>
  <si>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</si>
  <si>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</si>
  <si>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</si>
  <si>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</si>
  <si>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</si>
  <si>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</si>
  <si>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</si>
  <si>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</si>
  <si>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</si>
  <si>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</si>
  <si>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</si>
  <si>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</si>
  <si>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</si>
  <si>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</si>
  <si>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</si>
  <si>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</si>
  <si>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</si>
  <si>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</si>
  <si>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</si>
  <si>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</si>
  <si>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</si>
  <si>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</si>
  <si>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</si>
  <si>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</si>
  <si>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</si>
  <si>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</si>
  <si>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</si>
  <si>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</si>
  <si>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</si>
  <si>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</si>
  <si>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</si>
  <si>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</si>
  <si>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</si>
  <si>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</si>
  <si>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</si>
  <si>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</si>
  <si>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</si>
  <si>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</si>
  <si>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</si>
  <si>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</si>
  <si>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</si>
  <si>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</si>
  <si>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</si>
  <si>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</si>
  <si>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</si>
  <si>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</si>
  <si>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</si>
  <si>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</si>
  <si>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</si>
  <si>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</si>
  <si>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</si>
  <si>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</si>
  <si>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</si>
  <si>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</si>
  <si>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</si>
  <si>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</si>
  <si>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</si>
  <si>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</si>
  <si>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</si>
  <si>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</si>
  <si>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</si>
  <si>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</si>
  <si>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</si>
  <si>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</si>
  <si>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</si>
  <si>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</si>
  <si>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</si>
  <si>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</si>
  <si>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</si>
  <si>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</si>
  <si>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</si>
  <si>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</si>
  <si>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</si>
  <si>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</si>
  <si>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</si>
  <si>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</si>
  <si>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</si>
  <si>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</si>
  <si>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</si>
  <si>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</si>
  <si>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</si>
  <si>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</si>
  <si>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</si>
  <si>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</si>
  <si>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</si>
  <si>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</si>
  <si>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</si>
  <si>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</si>
  <si>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</si>
  <si>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</si>
  <si>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</si>
  <si>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</si>
  <si>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</si>
  <si>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</si>
  <si>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</si>
  <si>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</si>
  <si>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</si>
  <si>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</si>
  <si>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</si>
  <si>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</si>
  <si>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</si>
  <si>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</si>
  <si>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</si>
  <si>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</si>
  <si>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</si>
  <si>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</si>
  <si>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</si>
  <si>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</si>
  <si>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</si>
  <si>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</si>
  <si>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</si>
  <si>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</si>
  <si>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</si>
  <si>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</si>
  <si>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</si>
  <si>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</si>
  <si>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</si>
  <si>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</si>
  <si>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</si>
  <si>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</si>
  <si>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</si>
  <si>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</si>
  <si>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</si>
  <si>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</si>
  <si>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</si>
  <si>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</si>
  <si>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</si>
  <si>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</si>
  <si>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</si>
  <si>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</si>
  <si>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</si>
  <si>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</si>
  <si>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</si>
  <si>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</si>
  <si>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</si>
  <si>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</si>
  <si>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</si>
  <si>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</si>
  <si>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</si>
  <si>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</si>
  <si>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</si>
  <si>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</si>
  <si>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</si>
  <si>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</si>
  <si>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</si>
  <si>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</si>
  <si>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</si>
  <si>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</si>
  <si>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</si>
  <si>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</si>
  <si>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</si>
  <si>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</si>
  <si>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</si>
  <si>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25.04.2016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</si>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</sst>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257017.62999999998</v>
      </c>
      <c r="G8" s="15">
        <f aca="true" t="shared" si="0" ref="G8:G21">F8-E8</f>
        <v>-14657.050000000017</v>
      </c>
      <c r="H8" s="38">
        <f>F8/E8*100</f>
        <v>94.60492600929906</v>
      </c>
      <c r="I8" s="28">
        <f>F8-D8</f>
        <v>-584032.37</v>
      </c>
      <c r="J8" s="28">
        <f>F8/D8*100</f>
        <v>30.559137982284046</v>
      </c>
      <c r="K8" s="15">
        <f>F8-198537.14</f>
        <v>58480.48999999996</v>
      </c>
      <c r="L8" s="15">
        <f>F8/198537.14*100</f>
        <v>129.4556927736543</v>
      </c>
      <c r="M8" s="15">
        <f>M9+M15+M18+M19+M20+M32+M17</f>
        <v>71360.49999999999</v>
      </c>
      <c r="N8" s="15">
        <f>N9+N15+N18+N19+N20+N32+N17</f>
        <v>47229.91999999998</v>
      </c>
      <c r="O8" s="15">
        <f>N8-M8</f>
        <v>-24130.58000000001</v>
      </c>
      <c r="P8" s="15">
        <f>N8/M8*100</f>
        <v>66.18496226904239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142925.99</v>
      </c>
      <c r="G9" s="36">
        <f t="shared" si="0"/>
        <v>-2857.279999999999</v>
      </c>
      <c r="H9" s="32">
        <f>F9/E9*100</f>
        <v>98.04004945149056</v>
      </c>
      <c r="I9" s="42">
        <f>F9-D9</f>
        <v>-316774.01</v>
      </c>
      <c r="J9" s="42">
        <f>F9/D9*100</f>
        <v>31.091144224494233</v>
      </c>
      <c r="K9" s="106">
        <f>F9-110765.65</f>
        <v>32160.339999999997</v>
      </c>
      <c r="L9" s="106">
        <f>F9/110765.65*100</f>
        <v>129.03457886086528</v>
      </c>
      <c r="M9" s="32">
        <f>E9-березень!E9</f>
        <v>39799.999999999985</v>
      </c>
      <c r="N9" s="178">
        <f>F9-березень!F9</f>
        <v>30644.169999999984</v>
      </c>
      <c r="O9" s="40">
        <f>N9-M9</f>
        <v>-9155.830000000002</v>
      </c>
      <c r="P9" s="42">
        <f>N9/M9*100</f>
        <v>76.99540201005024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126266.73</v>
      </c>
      <c r="G10" s="109">
        <f t="shared" si="0"/>
        <v>-4650.110000000001</v>
      </c>
      <c r="H10" s="32">
        <f aca="true" t="shared" si="1" ref="H10:H31">F10/E10*100</f>
        <v>96.4480428950164</v>
      </c>
      <c r="I10" s="110">
        <f aca="true" t="shared" si="2" ref="I10:I32">F10-D10</f>
        <v>-285173.27</v>
      </c>
      <c r="J10" s="110">
        <f aca="true" t="shared" si="3" ref="J10:J31">F10/D10*100</f>
        <v>30.688977736729534</v>
      </c>
      <c r="K10" s="112">
        <f>F10-98351.31</f>
        <v>27915.42</v>
      </c>
      <c r="L10" s="112">
        <f>F10/98351.31*100</f>
        <v>128.38337384626598</v>
      </c>
      <c r="M10" s="111">
        <f>E10-березень!E10</f>
        <v>36300</v>
      </c>
      <c r="N10" s="179">
        <f>F10-березень!F10</f>
        <v>27802.34999999999</v>
      </c>
      <c r="O10" s="112">
        <f aca="true" t="shared" si="4" ref="O10:O32">N10-M10</f>
        <v>-8497.650000000009</v>
      </c>
      <c r="P10" s="42">
        <f aca="true" t="shared" si="5" ref="P10:P25">N10/M10*100</f>
        <v>76.59049586776857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9460.39</v>
      </c>
      <c r="G11" s="109">
        <f t="shared" si="0"/>
        <v>825.4499999999989</v>
      </c>
      <c r="H11" s="32">
        <f t="shared" si="1"/>
        <v>109.55941789983486</v>
      </c>
      <c r="I11" s="110">
        <f t="shared" si="2"/>
        <v>-13539.61</v>
      </c>
      <c r="J11" s="110">
        <f t="shared" si="3"/>
        <v>41.1321304347826</v>
      </c>
      <c r="K11" s="112">
        <f>F11-6301.46</f>
        <v>3158.9299999999994</v>
      </c>
      <c r="L11" s="112">
        <f>F11/6301.46*100</f>
        <v>150.13012857337822</v>
      </c>
      <c r="M11" s="111">
        <f>E11-березень!E11</f>
        <v>1550.000000000001</v>
      </c>
      <c r="N11" s="179">
        <f>F11-березень!F11</f>
        <v>1383.2799999999997</v>
      </c>
      <c r="O11" s="112">
        <f t="shared" si="4"/>
        <v>-166.72000000000116</v>
      </c>
      <c r="P11" s="42">
        <f t="shared" si="5"/>
        <v>89.24387096774187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2747.91</v>
      </c>
      <c r="G12" s="109">
        <f t="shared" si="0"/>
        <v>1057.3</v>
      </c>
      <c r="H12" s="32">
        <f t="shared" si="1"/>
        <v>162.5395567280449</v>
      </c>
      <c r="I12" s="110">
        <f t="shared" si="2"/>
        <v>-3752.09</v>
      </c>
      <c r="J12" s="110">
        <f t="shared" si="3"/>
        <v>42.27553846153846</v>
      </c>
      <c r="K12" s="112">
        <f>F12-1718.24</f>
        <v>1029.6699999999998</v>
      </c>
      <c r="L12" s="112">
        <f>F12/1718.24*100</f>
        <v>159.9258543626036</v>
      </c>
      <c r="M12" s="111">
        <f>E12-березень!E12</f>
        <v>585</v>
      </c>
      <c r="N12" s="179">
        <f>F12-березень!F12</f>
        <v>368.44000000000005</v>
      </c>
      <c r="O12" s="112">
        <f t="shared" si="4"/>
        <v>-216.55999999999995</v>
      </c>
      <c r="P12" s="42">
        <f t="shared" si="5"/>
        <v>62.981196581196585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3024.6</v>
      </c>
      <c r="G13" s="109">
        <f t="shared" si="0"/>
        <v>359.75999999999976</v>
      </c>
      <c r="H13" s="32">
        <f t="shared" si="1"/>
        <v>113.5002476696537</v>
      </c>
      <c r="I13" s="110">
        <f t="shared" si="2"/>
        <v>-9375.4</v>
      </c>
      <c r="J13" s="110">
        <f t="shared" si="3"/>
        <v>24.391935483870967</v>
      </c>
      <c r="K13" s="112">
        <f>F13-1662.77</f>
        <v>1361.83</v>
      </c>
      <c r="L13" s="112">
        <f>F13/1662.77*100</f>
        <v>181.90128520480883</v>
      </c>
      <c r="M13" s="111">
        <f>E13-березень!E13</f>
        <v>755.0000000000002</v>
      </c>
      <c r="N13" s="179">
        <f>F13-березень!F13</f>
        <v>599.6599999999999</v>
      </c>
      <c r="O13" s="112">
        <f t="shared" si="4"/>
        <v>-155.34000000000037</v>
      </c>
      <c r="P13" s="42">
        <f t="shared" si="5"/>
        <v>79.42516556291388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>
        <f>F15/E15*100</f>
        <v>154.86666666666667</v>
      </c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18968.6</v>
      </c>
      <c r="G19" s="36">
        <f t="shared" si="0"/>
        <v>-9591.800000000003</v>
      </c>
      <c r="H19" s="32">
        <f t="shared" si="1"/>
        <v>66.41573647427906</v>
      </c>
      <c r="I19" s="42">
        <f t="shared" si="2"/>
        <v>-90931.4</v>
      </c>
      <c r="J19" s="42">
        <f t="shared" si="3"/>
        <v>17.259872611464967</v>
      </c>
      <c r="K19" s="185">
        <f>F19-16357.62</f>
        <v>2610.9799999999977</v>
      </c>
      <c r="L19" s="185">
        <f>F19/16357.62*100</f>
        <v>115.9618575318414</v>
      </c>
      <c r="M19" s="32">
        <f>E19-березень!E19</f>
        <v>8500</v>
      </c>
      <c r="N19" s="178">
        <f>F19-березень!F19</f>
        <v>697.7099999999991</v>
      </c>
      <c r="O19" s="40">
        <f t="shared" si="4"/>
        <v>-7802.290000000001</v>
      </c>
      <c r="P19" s="42">
        <f t="shared" si="5"/>
        <v>8.208352941176459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94831.35</v>
      </c>
      <c r="G20" s="36">
        <f t="shared" si="0"/>
        <v>-2369.6600000000035</v>
      </c>
      <c r="H20" s="32">
        <f t="shared" si="1"/>
        <v>97.5621035213523</v>
      </c>
      <c r="I20" s="42">
        <f t="shared" si="2"/>
        <v>-176108.65</v>
      </c>
      <c r="J20" s="42">
        <f t="shared" si="3"/>
        <v>35.00086735070496</v>
      </c>
      <c r="K20" s="132">
        <f>F20-70294.13</f>
        <v>24537.22</v>
      </c>
      <c r="L20" s="132">
        <f>F20/70294.13*100</f>
        <v>134.90649930513402</v>
      </c>
      <c r="M20" s="32">
        <f>M21+M25+M26+M27</f>
        <v>23050.5</v>
      </c>
      <c r="N20" s="178">
        <f>F20-березень!F20</f>
        <v>15887.259999999995</v>
      </c>
      <c r="O20" s="40">
        <f t="shared" si="4"/>
        <v>-7163.240000000005</v>
      </c>
      <c r="P20" s="42">
        <f t="shared" si="5"/>
        <v>68.92371098240817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46078.15</v>
      </c>
      <c r="G21" s="36">
        <f t="shared" si="0"/>
        <v>-5608.110000000001</v>
      </c>
      <c r="H21" s="32">
        <f t="shared" si="1"/>
        <v>89.1497082590228</v>
      </c>
      <c r="I21" s="42">
        <f t="shared" si="2"/>
        <v>-115321.85</v>
      </c>
      <c r="J21" s="42">
        <f t="shared" si="3"/>
        <v>28.549039653035933</v>
      </c>
      <c r="K21" s="132">
        <f>F21-37283.9</f>
        <v>8794.25</v>
      </c>
      <c r="L21" s="132">
        <f>F21/37283.9*100</f>
        <v>123.58725884362956</v>
      </c>
      <c r="M21" s="32">
        <f>M22+M23+M24</f>
        <v>14845</v>
      </c>
      <c r="N21" s="178">
        <f>F21-березень!F21</f>
        <v>5690.040000000001</v>
      </c>
      <c r="O21" s="40">
        <f t="shared" si="4"/>
        <v>-9154.96</v>
      </c>
      <c r="P21" s="42">
        <f t="shared" si="5"/>
        <v>38.329673290670264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5628.57</v>
      </c>
      <c r="G22" s="109">
        <f>F22-E22</f>
        <v>-1003.0300000000007</v>
      </c>
      <c r="H22" s="111">
        <f t="shared" si="1"/>
        <v>84.87499246034139</v>
      </c>
      <c r="I22" s="110">
        <f t="shared" si="2"/>
        <v>-12871.43</v>
      </c>
      <c r="J22" s="110">
        <f t="shared" si="3"/>
        <v>30.4247027027027</v>
      </c>
      <c r="K22" s="174">
        <f>F22-4219.07</f>
        <v>1409.5</v>
      </c>
      <c r="L22" s="174">
        <f>F22/4219.07*100</f>
        <v>133.40783632411885</v>
      </c>
      <c r="M22" s="111">
        <f>E22-березень!E22</f>
        <v>3100.0000000000005</v>
      </c>
      <c r="N22" s="179">
        <f>F22-березень!F22</f>
        <v>1433.6799999999994</v>
      </c>
      <c r="O22" s="112">
        <f t="shared" si="4"/>
        <v>-1666.320000000001</v>
      </c>
      <c r="P22" s="110">
        <f t="shared" si="5"/>
        <v>46.247741935483845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361.58</v>
      </c>
      <c r="G23" s="109">
        <f>F23-E23</f>
        <v>84.74000000000001</v>
      </c>
      <c r="H23" s="111">
        <f t="shared" si="1"/>
        <v>130.6097384770987</v>
      </c>
      <c r="I23" s="110">
        <f t="shared" si="2"/>
        <v>-2438.42</v>
      </c>
      <c r="J23" s="110">
        <f t="shared" si="3"/>
        <v>12.913571428571426</v>
      </c>
      <c r="K23" s="110">
        <f>F23-141.72</f>
        <v>219.85999999999999</v>
      </c>
      <c r="L23" s="110">
        <f>F23/141.72*100</f>
        <v>255.13688964154667</v>
      </c>
      <c r="M23" s="111">
        <f>E23-березень!E23</f>
        <v>74.99999999999997</v>
      </c>
      <c r="N23" s="179">
        <f>F23-березень!F23</f>
        <v>47.69999999999999</v>
      </c>
      <c r="O23" s="112">
        <f t="shared" si="4"/>
        <v>-27.299999999999983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40088</v>
      </c>
      <c r="G24" s="109">
        <f>F24-E24</f>
        <v>-4689.82</v>
      </c>
      <c r="H24" s="111">
        <f t="shared" si="1"/>
        <v>89.52646645147084</v>
      </c>
      <c r="I24" s="110">
        <f t="shared" si="2"/>
        <v>-100012</v>
      </c>
      <c r="J24" s="110">
        <f t="shared" si="3"/>
        <v>28.61384725196288</v>
      </c>
      <c r="K24" s="174">
        <f>F24-32923.11</f>
        <v>7164.889999999999</v>
      </c>
      <c r="L24" s="174">
        <f>F24/32923.11*100</f>
        <v>121.7624944909518</v>
      </c>
      <c r="M24" s="111">
        <f>E24-березень!E24</f>
        <v>11670</v>
      </c>
      <c r="N24" s="179">
        <f>F24-березень!F24</f>
        <v>4208.6600000000035</v>
      </c>
      <c r="O24" s="112">
        <f t="shared" si="4"/>
        <v>-7461.3399999999965</v>
      </c>
      <c r="P24" s="110">
        <f t="shared" si="5"/>
        <v>36.063924592973464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31.17</v>
      </c>
      <c r="G25" s="36">
        <f>F25-E25</f>
        <v>11.66</v>
      </c>
      <c r="H25" s="32">
        <f t="shared" si="1"/>
        <v>159.76422347514094</v>
      </c>
      <c r="I25" s="42">
        <f t="shared" si="2"/>
        <v>-45.83</v>
      </c>
      <c r="J25" s="42">
        <f t="shared" si="3"/>
        <v>40.48051948051948</v>
      </c>
      <c r="K25" s="132">
        <f>F25-23.16</f>
        <v>8.010000000000002</v>
      </c>
      <c r="L25" s="132">
        <f>F25/23.16*100</f>
        <v>134.58549222797927</v>
      </c>
      <c r="M25" s="32">
        <f>E25-березень!E25</f>
        <v>5.500000000000002</v>
      </c>
      <c r="N25" s="178">
        <f>F25-березень!F25</f>
        <v>6.360000000000003</v>
      </c>
      <c r="O25" s="40">
        <f t="shared" si="4"/>
        <v>0.8600000000000012</v>
      </c>
      <c r="P25" s="42">
        <f t="shared" si="5"/>
        <v>115.63636363636365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-107.01</v>
      </c>
      <c r="G26" s="36">
        <f aca="true" t="shared" si="6" ref="G26:G32">F26-E26</f>
        <v>-107.01</v>
      </c>
      <c r="H26" s="32"/>
      <c r="I26" s="42">
        <f t="shared" si="2"/>
        <v>-107.01</v>
      </c>
      <c r="J26" s="42"/>
      <c r="K26" s="132">
        <f>F26-(-59.24)</f>
        <v>-47.77</v>
      </c>
      <c r="L26" s="132">
        <f>F26/(-59.24)*100</f>
        <v>180.63808237677245</v>
      </c>
      <c r="M26" s="32">
        <f>E26-березень!E26</f>
        <v>0</v>
      </c>
      <c r="N26" s="178">
        <f>F26-березень!F26</f>
        <v>-25.47</v>
      </c>
      <c r="O26" s="40">
        <f t="shared" si="4"/>
        <v>-25.47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48829.04</v>
      </c>
      <c r="G27" s="36">
        <f t="shared" si="6"/>
        <v>3333.800000000003</v>
      </c>
      <c r="H27" s="32">
        <f t="shared" si="1"/>
        <v>107.32779956760312</v>
      </c>
      <c r="I27" s="42">
        <f t="shared" si="2"/>
        <v>-60633.96</v>
      </c>
      <c r="J27" s="42">
        <f t="shared" si="3"/>
        <v>44.60780355005801</v>
      </c>
      <c r="K27" s="106">
        <f>F27-33046.32</f>
        <v>15782.720000000001</v>
      </c>
      <c r="L27" s="106">
        <f>F27/33046.32*100</f>
        <v>147.75938742952317</v>
      </c>
      <c r="M27" s="32">
        <f>E27-березень!E27</f>
        <v>8200</v>
      </c>
      <c r="N27" s="178">
        <f>F27-березень!F27</f>
        <v>10216.330000000002</v>
      </c>
      <c r="O27" s="40">
        <f t="shared" si="4"/>
        <v>2016.3300000000017</v>
      </c>
      <c r="P27" s="42">
        <f>N27/M27*100</f>
        <v>124.58939024390246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11602.48</v>
      </c>
      <c r="G29" s="109">
        <f t="shared" si="6"/>
        <v>346.5100000000002</v>
      </c>
      <c r="H29" s="111">
        <f t="shared" si="1"/>
        <v>103.07845525530009</v>
      </c>
      <c r="I29" s="110">
        <f t="shared" si="2"/>
        <v>-15997.52</v>
      </c>
      <c r="J29" s="110">
        <f t="shared" si="3"/>
        <v>42.037971014492754</v>
      </c>
      <c r="K29" s="142">
        <f>F29-8182.41</f>
        <v>3420.0699999999997</v>
      </c>
      <c r="L29" s="142">
        <f>F29/8182.41*100</f>
        <v>141.79783217902792</v>
      </c>
      <c r="M29" s="111">
        <f>E29-березень!E29</f>
        <v>1900</v>
      </c>
      <c r="N29" s="179">
        <f>F29-березень!F29</f>
        <v>1789.9899999999998</v>
      </c>
      <c r="O29" s="112">
        <f t="shared" si="4"/>
        <v>-110.01000000000022</v>
      </c>
      <c r="P29" s="110">
        <f>N29/M29*100</f>
        <v>94.21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37218.68</v>
      </c>
      <c r="G30" s="109">
        <f t="shared" si="6"/>
        <v>2982.5999999999985</v>
      </c>
      <c r="H30" s="111">
        <f t="shared" si="1"/>
        <v>108.71186187203674</v>
      </c>
      <c r="I30" s="110">
        <f t="shared" si="2"/>
        <v>-44593.32</v>
      </c>
      <c r="J30" s="110">
        <f t="shared" si="3"/>
        <v>45.4929350217572</v>
      </c>
      <c r="K30" s="142">
        <f>F30-24859.36</f>
        <v>12359.32</v>
      </c>
      <c r="L30" s="142">
        <f>F30/24859.36*100</f>
        <v>149.7169677739089</v>
      </c>
      <c r="M30" s="111">
        <f>E30-березень!E30</f>
        <v>6300</v>
      </c>
      <c r="N30" s="179">
        <f>F30-березень!F30</f>
        <v>8426.3</v>
      </c>
      <c r="O30" s="112">
        <f t="shared" si="4"/>
        <v>2126.2999999999993</v>
      </c>
      <c r="P30" s="110">
        <f>N30/M30*100</f>
        <v>133.75079365079364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16323.689999999999</v>
      </c>
      <c r="G33" s="15">
        <f>G34+G35+G36+G37+G38+G39+G41+G42+G43+G44+G45+G50+G51+G55</f>
        <v>2077.6799999999994</v>
      </c>
      <c r="H33" s="38">
        <f>F33/E33*100</f>
        <v>114.58413326379349</v>
      </c>
      <c r="I33" s="28">
        <f>F33-D33</f>
        <v>-26496.31</v>
      </c>
      <c r="J33" s="28">
        <f>F33/D33*100</f>
        <v>38.12164876226063</v>
      </c>
      <c r="K33" s="15">
        <f>F33-10433.59</f>
        <v>5890.0999999999985</v>
      </c>
      <c r="L33" s="15">
        <f>F33/10433.59*100</f>
        <v>156.45324380198952</v>
      </c>
      <c r="M33" s="15">
        <f>M34+M35+M36+M37+M38+M39+M41+M42+M43+M44+M45+M50+M51+M55</f>
        <v>3735.999</v>
      </c>
      <c r="N33" s="15">
        <f>N34+N35+N36+N37+N38+N39+N41+N42+N43+N44+N45+N50+N51+N55</f>
        <v>5651.42</v>
      </c>
      <c r="O33" s="15">
        <f>O34+O35+O36+O37+O38+O39+O41+O42+O43+O44+O45+O50+O51+O55</f>
        <v>1915.4209999999998</v>
      </c>
      <c r="P33" s="15">
        <f>N33/M33*100</f>
        <v>151.26931243825283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95.75</v>
      </c>
      <c r="G34" s="36">
        <f>F34-E34</f>
        <v>41.75</v>
      </c>
      <c r="H34" s="32">
        <f aca="true" t="shared" si="7" ref="H34:H56">F34/E34*100</f>
        <v>177.3148148148148</v>
      </c>
      <c r="I34" s="42">
        <f>F34-D34</f>
        <v>-4.25</v>
      </c>
      <c r="J34" s="42">
        <f>F34/D34*100</f>
        <v>95.75</v>
      </c>
      <c r="K34" s="42">
        <f>F34-83.98</f>
        <v>11.769999999999996</v>
      </c>
      <c r="L34" s="42">
        <f>F34/83.98*100</f>
        <v>114.01524172422003</v>
      </c>
      <c r="M34" s="32">
        <f>E34-березень!E34</f>
        <v>3</v>
      </c>
      <c r="N34" s="178">
        <f>F34-березень!F34</f>
        <v>1.0999999999999943</v>
      </c>
      <c r="O34" s="40">
        <f>N34-M34</f>
        <v>-1.9000000000000057</v>
      </c>
      <c r="P34" s="42">
        <f aca="true" t="shared" si="8" ref="P34:P56">N34/M34*100</f>
        <v>36.66666666666647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33.16</v>
      </c>
      <c r="G38" s="36">
        <f t="shared" si="9"/>
        <v>-6.840000000000003</v>
      </c>
      <c r="H38" s="32">
        <f t="shared" si="7"/>
        <v>82.89999999999999</v>
      </c>
      <c r="I38" s="42">
        <f t="shared" si="10"/>
        <v>-116.84</v>
      </c>
      <c r="J38" s="42">
        <f t="shared" si="12"/>
        <v>22.106666666666662</v>
      </c>
      <c r="K38" s="42">
        <f>F38-41.25</f>
        <v>-8.090000000000003</v>
      </c>
      <c r="L38" s="42">
        <f>F38/41.25*100</f>
        <v>80.38787878787878</v>
      </c>
      <c r="M38" s="32">
        <f>E38-березень!E38</f>
        <v>10</v>
      </c>
      <c r="N38" s="178">
        <f>F38-березень!F38</f>
        <v>12.759999999999998</v>
      </c>
      <c r="O38" s="40">
        <f t="shared" si="11"/>
        <v>2.759999999999998</v>
      </c>
      <c r="P38" s="42">
        <f t="shared" si="8"/>
        <v>127.59999999999998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2941.41</v>
      </c>
      <c r="G41" s="36">
        <f t="shared" si="9"/>
        <v>2.3899999999998727</v>
      </c>
      <c r="H41" s="32">
        <f t="shared" si="7"/>
        <v>100.08131962354798</v>
      </c>
      <c r="I41" s="42">
        <f t="shared" si="10"/>
        <v>-6958.59</v>
      </c>
      <c r="J41" s="42">
        <f t="shared" si="12"/>
        <v>29.71121212121212</v>
      </c>
      <c r="K41" s="42">
        <f>F41-3348.03</f>
        <v>-406.62000000000035</v>
      </c>
      <c r="L41" s="42">
        <f>F41/3348.03*100</f>
        <v>87.8549475363124</v>
      </c>
      <c r="M41" s="32">
        <f>E41-березень!E41</f>
        <v>800</v>
      </c>
      <c r="N41" s="178">
        <f>F41-березень!F41</f>
        <v>601.8299999999999</v>
      </c>
      <c r="O41" s="40">
        <f t="shared" si="11"/>
        <v>-198.17000000000007</v>
      </c>
      <c r="P41" s="42">
        <f t="shared" si="8"/>
        <v>75.22874999999999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1874.82</v>
      </c>
      <c r="G45" s="36">
        <f t="shared" si="9"/>
        <v>-139.37000000000012</v>
      </c>
      <c r="H45" s="32">
        <f t="shared" si="7"/>
        <v>93.08059319130767</v>
      </c>
      <c r="I45" s="42">
        <f t="shared" si="10"/>
        <v>-5425.18</v>
      </c>
      <c r="J45" s="42">
        <f t="shared" si="12"/>
        <v>25.682465753424655</v>
      </c>
      <c r="K45" s="132">
        <f>F45-2831.1</f>
        <v>-956.28</v>
      </c>
      <c r="L45" s="132">
        <f>F45/2831.1*100</f>
        <v>66.22231641411466</v>
      </c>
      <c r="M45" s="32">
        <f>E45-березень!E45</f>
        <v>641</v>
      </c>
      <c r="N45" s="178">
        <f>F45-березень!F45</f>
        <v>374.72</v>
      </c>
      <c r="O45" s="40">
        <f t="shared" si="11"/>
        <v>-266.28</v>
      </c>
      <c r="P45" s="132">
        <f t="shared" si="8"/>
        <v>58.458658346333856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217.92</v>
      </c>
      <c r="G46" s="36">
        <f t="shared" si="9"/>
        <v>-71.07000000000002</v>
      </c>
      <c r="H46" s="32">
        <f t="shared" si="7"/>
        <v>75.40745354510537</v>
      </c>
      <c r="I46" s="110">
        <f t="shared" si="10"/>
        <v>-882.08</v>
      </c>
      <c r="J46" s="110">
        <f t="shared" si="12"/>
        <v>19.81090909090909</v>
      </c>
      <c r="K46" s="110">
        <f>F46-319.39</f>
        <v>-101.47</v>
      </c>
      <c r="L46" s="110">
        <f>F46/319.39*100</f>
        <v>68.2300635586587</v>
      </c>
      <c r="M46" s="111">
        <f>E46-березень!E46</f>
        <v>100</v>
      </c>
      <c r="N46" s="179">
        <f>F46-березень!F46</f>
        <v>54.23999999999998</v>
      </c>
      <c r="O46" s="112">
        <f t="shared" si="11"/>
        <v>-45.76000000000002</v>
      </c>
      <c r="P46" s="132">
        <f t="shared" si="8"/>
        <v>54.23999999999998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1630.3</v>
      </c>
      <c r="G49" s="36">
        <f t="shared" si="9"/>
        <v>-91.87000000000012</v>
      </c>
      <c r="H49" s="32">
        <f t="shared" si="7"/>
        <v>94.66545114593796</v>
      </c>
      <c r="I49" s="110">
        <f t="shared" si="10"/>
        <v>-4523.7</v>
      </c>
      <c r="J49" s="110">
        <f t="shared" si="12"/>
        <v>26.49171270718232</v>
      </c>
      <c r="K49" s="110">
        <f>F49-2466.52</f>
        <v>-836.22</v>
      </c>
      <c r="L49" s="110">
        <f>F49/2466.52*100</f>
        <v>66.09717334544216</v>
      </c>
      <c r="M49" s="111">
        <f>E49-березень!E49</f>
        <v>540</v>
      </c>
      <c r="N49" s="179">
        <f>F49-березень!F49</f>
        <v>294</v>
      </c>
      <c r="O49" s="112">
        <f t="shared" si="11"/>
        <v>-246</v>
      </c>
      <c r="P49" s="132">
        <f t="shared" si="8"/>
        <v>54.44444444444444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1929.56</v>
      </c>
      <c r="G51" s="36">
        <f t="shared" si="9"/>
        <v>451.5799999999999</v>
      </c>
      <c r="H51" s="32">
        <f t="shared" si="7"/>
        <v>130.55386405770037</v>
      </c>
      <c r="I51" s="42">
        <f t="shared" si="10"/>
        <v>-2870.44</v>
      </c>
      <c r="J51" s="42">
        <f t="shared" si="12"/>
        <v>40.19916666666666</v>
      </c>
      <c r="K51" s="42">
        <f>F51-1435.76</f>
        <v>493.79999999999995</v>
      </c>
      <c r="L51" s="42">
        <f>F51/1435.76*100</f>
        <v>134.3929347523263</v>
      </c>
      <c r="M51" s="32">
        <f>E51-березень!E51</f>
        <v>470</v>
      </c>
      <c r="N51" s="178">
        <f>F51-березень!F51</f>
        <v>814.72</v>
      </c>
      <c r="O51" s="40">
        <f t="shared" si="11"/>
        <v>344.72</v>
      </c>
      <c r="P51" s="42">
        <f t="shared" si="8"/>
        <v>173.34468085106383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385.3</v>
      </c>
      <c r="G53" s="36"/>
      <c r="H53" s="32"/>
      <c r="I53" s="42"/>
      <c r="J53" s="42"/>
      <c r="K53" s="112">
        <f>F53-313.7</f>
        <v>71.60000000000002</v>
      </c>
      <c r="L53" s="112">
        <f>F53/313.7*100</f>
        <v>122.8243544788014</v>
      </c>
      <c r="M53" s="32">
        <f>E53-березень!E53</f>
        <v>0</v>
      </c>
      <c r="N53" s="179">
        <f>F53-березень!F53</f>
        <v>154.86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273355.20999999996</v>
      </c>
      <c r="G58" s="37">
        <f>F58-E58</f>
        <v>-12573.099999999977</v>
      </c>
      <c r="H58" s="38">
        <f>F58/E58*100</f>
        <v>95.60270894477011</v>
      </c>
      <c r="I58" s="28">
        <f>F58-D58</f>
        <v>-610545.39</v>
      </c>
      <c r="J58" s="28">
        <f>F58/D58*100</f>
        <v>30.926012495070143</v>
      </c>
      <c r="K58" s="28">
        <f>F58-208977.28</f>
        <v>64377.929999999964</v>
      </c>
      <c r="L58" s="28">
        <f>F58/208977.28*100</f>
        <v>130.8061862035911</v>
      </c>
      <c r="M58" s="15">
        <f>M8+M33+M56+M57</f>
        <v>75098.79899999998</v>
      </c>
      <c r="N58" s="15">
        <f>N8+N33+N56+N57</f>
        <v>52889.42999999998</v>
      </c>
      <c r="O58" s="41">
        <f>N58-M58</f>
        <v>-22209.369000000006</v>
      </c>
      <c r="P58" s="28">
        <f>N58/M58*100</f>
        <v>70.4264658080617</v>
      </c>
      <c r="Q58" s="28">
        <f>N58-34768</f>
        <v>18121.42999999998</v>
      </c>
      <c r="R58" s="128">
        <f>N58/34768</f>
        <v>1.521210020708697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0.01</v>
      </c>
      <c r="G63" s="36"/>
      <c r="H63" s="32"/>
      <c r="I63" s="43"/>
      <c r="J63" s="43"/>
      <c r="K63" s="43">
        <f>F63-8.75</f>
        <v>-8.74</v>
      </c>
      <c r="L63" s="43"/>
      <c r="M63" s="33"/>
      <c r="N63" s="181">
        <f>F63-березень!F63</f>
        <v>0.01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-0.26</v>
      </c>
      <c r="G65" s="45">
        <f>F65-E65</f>
        <v>-0.26</v>
      </c>
      <c r="H65" s="52"/>
      <c r="I65" s="44">
        <f>F65-D65</f>
        <v>-0.26</v>
      </c>
      <c r="J65" s="44"/>
      <c r="K65" s="44">
        <f>F65-(-5.9)</f>
        <v>5.640000000000001</v>
      </c>
      <c r="L65" s="44">
        <f>F65/(-5.9)*100</f>
        <v>4.406779661016949</v>
      </c>
      <c r="M65" s="45">
        <f>M64</f>
        <v>0</v>
      </c>
      <c r="N65" s="182">
        <f>SUM(N63:N64)</f>
        <v>0.01</v>
      </c>
      <c r="O65" s="44">
        <f>N65-M65</f>
        <v>0.01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300.87</v>
      </c>
      <c r="G67" s="36">
        <f aca="true" t="shared" si="13" ref="G67:G77">F67-E67</f>
        <v>-65.73000000000002</v>
      </c>
      <c r="H67" s="32"/>
      <c r="I67" s="43">
        <f aca="true" t="shared" si="14" ref="I67:I77">F67-D67</f>
        <v>-3899.13</v>
      </c>
      <c r="J67" s="43">
        <f>F67/D67*100</f>
        <v>7.163571428571429</v>
      </c>
      <c r="K67" s="43">
        <f>F67-91.72</f>
        <v>209.15</v>
      </c>
      <c r="L67" s="43">
        <f>F67/91.72*100</f>
        <v>328.0309638028784</v>
      </c>
      <c r="M67" s="32">
        <f>E67-березень!E67</f>
        <v>294.6</v>
      </c>
      <c r="N67" s="178">
        <f>F67-березень!F67</f>
        <v>300.72</v>
      </c>
      <c r="O67" s="40">
        <f aca="true" t="shared" si="15" ref="O67:O80">N67-M67</f>
        <v>6.1200000000000045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460.27</v>
      </c>
      <c r="G68" s="36">
        <f t="shared" si="13"/>
        <v>-1173.74</v>
      </c>
      <c r="H68" s="32">
        <f>F68/E68*100</f>
        <v>28.16812626605712</v>
      </c>
      <c r="I68" s="43">
        <f t="shared" si="14"/>
        <v>-6998.73</v>
      </c>
      <c r="J68" s="43">
        <f>F68/D68*100</f>
        <v>6.170666309156723</v>
      </c>
      <c r="K68" s="43">
        <f>F68-1938.06</f>
        <v>-1477.79</v>
      </c>
      <c r="L68" s="43">
        <f>F68/1938.06*100</f>
        <v>23.74900673869746</v>
      </c>
      <c r="M68" s="32">
        <f>E68-березень!E68</f>
        <v>242.5999999999999</v>
      </c>
      <c r="N68" s="178">
        <f>F68-березень!F68</f>
        <v>141.63</v>
      </c>
      <c r="O68" s="40">
        <f t="shared" si="15"/>
        <v>-100.96999999999991</v>
      </c>
      <c r="P68" s="43">
        <f>N68/M68*100</f>
        <v>58.380049464138516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8661.73</v>
      </c>
      <c r="G69" s="36">
        <f t="shared" si="13"/>
        <v>7472.879999999999</v>
      </c>
      <c r="H69" s="32">
        <f>F69/E69*100</f>
        <v>728.5805610463893</v>
      </c>
      <c r="I69" s="43">
        <f t="shared" si="14"/>
        <v>2661.7299999999996</v>
      </c>
      <c r="J69" s="43">
        <f>F69/D69*100</f>
        <v>144.36216666666667</v>
      </c>
      <c r="K69" s="43">
        <f>F69-34.14</f>
        <v>8627.59</v>
      </c>
      <c r="L69" s="43">
        <f>F69/34.14*100</f>
        <v>25371.206795547743</v>
      </c>
      <c r="M69" s="32">
        <f>E69-березень!E69</f>
        <v>301.9999999999999</v>
      </c>
      <c r="N69" s="178">
        <f>F69-березень!F69</f>
        <v>704.6399999999994</v>
      </c>
      <c r="O69" s="40">
        <f t="shared" si="15"/>
        <v>402.63999999999953</v>
      </c>
      <c r="P69" s="43">
        <f>N69/M69*100</f>
        <v>233.32450331125818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9426.869999999999</v>
      </c>
      <c r="G71" s="45">
        <f t="shared" si="13"/>
        <v>6233.409999999999</v>
      </c>
      <c r="H71" s="52">
        <f>F71/E71*100</f>
        <v>295.19298816957155</v>
      </c>
      <c r="I71" s="44">
        <f t="shared" si="14"/>
        <v>-8244.130000000001</v>
      </c>
      <c r="J71" s="44">
        <f>F71/D71*100</f>
        <v>53.3465565050082</v>
      </c>
      <c r="K71" s="44">
        <f>F71-1938.06</f>
        <v>7488.8099999999995</v>
      </c>
      <c r="L71" s="44">
        <f>F71/1938.06*100</f>
        <v>486.4075415621807</v>
      </c>
      <c r="M71" s="45">
        <f>M67+M68+M69+M70</f>
        <v>840.1999999999998</v>
      </c>
      <c r="N71" s="183">
        <f>N67+N68+N69+N70</f>
        <v>1147.9899999999993</v>
      </c>
      <c r="O71" s="44">
        <f t="shared" si="15"/>
        <v>307.7899999999995</v>
      </c>
      <c r="P71" s="44">
        <f>N71/M71*100</f>
        <v>136.63294453701496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2.48</v>
      </c>
      <c r="G72" s="36">
        <f t="shared" si="13"/>
        <v>2.48</v>
      </c>
      <c r="H72" s="32"/>
      <c r="I72" s="43">
        <f t="shared" si="14"/>
        <v>1.48</v>
      </c>
      <c r="J72" s="43"/>
      <c r="K72" s="43">
        <f>F72-0</f>
        <v>2.48</v>
      </c>
      <c r="L72" s="43"/>
      <c r="M72" s="32">
        <f>E72-березень!E72</f>
        <v>0</v>
      </c>
      <c r="N72" s="178">
        <f>F72-березень!F72</f>
        <v>2.04</v>
      </c>
      <c r="O72" s="40">
        <f t="shared" si="15"/>
        <v>2.04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2031.19</v>
      </c>
      <c r="G74" s="36">
        <f t="shared" si="13"/>
        <v>10.490000000000009</v>
      </c>
      <c r="H74" s="32">
        <f>F74/E74*100</f>
        <v>100.51912703518582</v>
      </c>
      <c r="I74" s="43">
        <f t="shared" si="14"/>
        <v>-7468.8099999999995</v>
      </c>
      <c r="J74" s="40">
        <f>F74/D74*100</f>
        <v>21.38094736842105</v>
      </c>
      <c r="K74" s="40">
        <f>F74-0</f>
        <v>2031.19</v>
      </c>
      <c r="L74" s="43"/>
      <c r="M74" s="32">
        <f>E74-березень!E74</f>
        <v>15</v>
      </c>
      <c r="N74" s="178">
        <f>F74-березень!F74</f>
        <v>12.190000000000055</v>
      </c>
      <c r="O74" s="40">
        <f>N74-M74</f>
        <v>-2.8099999999999454</v>
      </c>
      <c r="P74" s="46">
        <f>N74/M74*100</f>
        <v>81.26666666666704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2034.0700000000002</v>
      </c>
      <c r="G76" s="30">
        <f>G72+G75+G73+G74</f>
        <v>13.370000000000008</v>
      </c>
      <c r="H76" s="52">
        <f>F76/E76*100</f>
        <v>100.66165190280596</v>
      </c>
      <c r="I76" s="44">
        <f t="shared" si="14"/>
        <v>-7466.93</v>
      </c>
      <c r="J76" s="44">
        <f>F76/D76*100</f>
        <v>21.409009577939166</v>
      </c>
      <c r="K76" s="44">
        <f>F76-0.7</f>
        <v>2033.3700000000001</v>
      </c>
      <c r="L76" s="44">
        <f>F76/0.7*100</f>
        <v>290581.42857142864</v>
      </c>
      <c r="M76" s="45">
        <f>M72+M75+M73+M74</f>
        <v>15</v>
      </c>
      <c r="N76" s="183">
        <f>N72+N75+N73+N74</f>
        <v>14.230000000000054</v>
      </c>
      <c r="O76" s="45">
        <f>O72+O75+O73+O74</f>
        <v>-0.7699999999999454</v>
      </c>
      <c r="P76" s="44">
        <f>N76/M76*100</f>
        <v>94.86666666666702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11469.869999999999</v>
      </c>
      <c r="G79" s="37">
        <f>F79-E79</f>
        <v>6242.569999999999</v>
      </c>
      <c r="H79" s="38">
        <f>F79/E79*100</f>
        <v>219.4224551871903</v>
      </c>
      <c r="I79" s="28">
        <f>F79-D79</f>
        <v>-15745.130000000001</v>
      </c>
      <c r="J79" s="28">
        <f>F79/D79*100</f>
        <v>42.14539775858901</v>
      </c>
      <c r="K79" s="28">
        <f>F79-2072.3</f>
        <v>9397.57</v>
      </c>
      <c r="L79" s="28">
        <f>F79/2072.3*100</f>
        <v>553.4850166481685</v>
      </c>
      <c r="M79" s="24">
        <f>M65+M77+M71+M76</f>
        <v>855.6299999999998</v>
      </c>
      <c r="N79" s="24">
        <f>N65+N77+N71+N76+N78</f>
        <v>1162.2299999999993</v>
      </c>
      <c r="O79" s="28">
        <f t="shared" si="15"/>
        <v>306.59999999999957</v>
      </c>
      <c r="P79" s="28">
        <f>N79/M79*100</f>
        <v>135.83324567862275</v>
      </c>
      <c r="Q79" s="28">
        <f>N79-8104.96</f>
        <v>-6942.7300000000005</v>
      </c>
      <c r="R79" s="101">
        <f>N79/8104.96</f>
        <v>0.14339737642135178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284825.07999999996</v>
      </c>
      <c r="G80" s="37">
        <f>F80-E80</f>
        <v>-6330.52999999997</v>
      </c>
      <c r="H80" s="38">
        <f>F80/E80*100</f>
        <v>97.82572281537011</v>
      </c>
      <c r="I80" s="28">
        <f>F80-D80</f>
        <v>-626290.52</v>
      </c>
      <c r="J80" s="28">
        <f>F80/D80*100</f>
        <v>31.26113525001657</v>
      </c>
      <c r="K80" s="28">
        <f>F80-211049.59</f>
        <v>73775.48999999996</v>
      </c>
      <c r="L80" s="28">
        <f>F80/211049.59*100</f>
        <v>134.95647160461195</v>
      </c>
      <c r="M80" s="15">
        <f>M58+M79</f>
        <v>75954.42899999999</v>
      </c>
      <c r="N80" s="15">
        <f>N58+N79</f>
        <v>54051.659999999974</v>
      </c>
      <c r="O80" s="28">
        <f t="shared" si="15"/>
        <v>-21902.769000000015</v>
      </c>
      <c r="P80" s="28">
        <f>N80/M80*100</f>
        <v>71.16327607439453</v>
      </c>
      <c r="Q80" s="28">
        <f>N80-42872.96</f>
        <v>11178.699999999975</v>
      </c>
      <c r="R80" s="101">
        <f>N80/42872.96</f>
        <v>1.2607401028527065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5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4441.873800000001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42482</v>
      </c>
      <c r="D84" s="31">
        <v>4576</v>
      </c>
      <c r="G84" s="4" t="s">
        <v>59</v>
      </c>
      <c r="N84" s="216"/>
      <c r="O84" s="216"/>
    </row>
    <row r="85" spans="3:15" ht="15">
      <c r="C85" s="87">
        <v>42481</v>
      </c>
      <c r="D85" s="31">
        <v>2759.4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42480</v>
      </c>
      <c r="D86" s="31">
        <v>3863.3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0.07223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0" sqref="B5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2016-04-25T11:25:10Z</cp:lastPrinted>
  <dcterms:created xsi:type="dcterms:W3CDTF">2003-07-28T11:27:56Z</dcterms:created>
  <dcterms:modified xsi:type="dcterms:W3CDTF">2016-04-25T11:38:04Z</dcterms:modified>
  <cp:category/>
  <cp:version/>
  <cp:contentType/>
  <cp:contentStatus/>
</cp:coreProperties>
</file>